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4430" windowHeight="5565"/>
  </bookViews>
  <sheets>
    <sheet name="Yritysarvo" sheetId="2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2"/>
  <c r="F34" s="1"/>
  <c r="H10" l="1"/>
  <c r="I10" s="1"/>
  <c r="R16"/>
  <c r="F25"/>
  <c r="Q14"/>
  <c r="O8"/>
  <c r="P8" s="1"/>
  <c r="R8" s="1"/>
  <c r="O9"/>
  <c r="P9" s="1"/>
  <c r="R9" s="1"/>
  <c r="O10"/>
  <c r="P10" s="1"/>
  <c r="R10" s="1"/>
  <c r="O11"/>
  <c r="P11" s="1"/>
  <c r="R11" s="1"/>
  <c r="O7"/>
  <c r="P7" s="1"/>
  <c r="R7" s="1"/>
  <c r="L8"/>
  <c r="L9" s="1"/>
  <c r="L10" s="1"/>
  <c r="L11" s="1"/>
  <c r="L12" s="1"/>
  <c r="L13" s="1"/>
  <c r="H16"/>
  <c r="G35"/>
  <c r="H33"/>
  <c r="H32"/>
  <c r="I32" s="1"/>
  <c r="H31"/>
  <c r="I31" s="1"/>
  <c r="H30"/>
  <c r="I30" s="1"/>
  <c r="H29"/>
  <c r="I29" s="1"/>
  <c r="H28"/>
  <c r="I28" s="1"/>
  <c r="H24"/>
  <c r="I24" s="1"/>
  <c r="H23"/>
  <c r="I23" s="1"/>
  <c r="H22"/>
  <c r="I22" s="1"/>
  <c r="H21"/>
  <c r="I21" s="1"/>
  <c r="H20"/>
  <c r="I20" s="1"/>
  <c r="H19"/>
  <c r="I19" s="1"/>
  <c r="H18"/>
  <c r="I18" s="1"/>
  <c r="I16"/>
  <c r="H9"/>
  <c r="I9" s="1"/>
  <c r="H11"/>
  <c r="I11" s="1"/>
  <c r="H12"/>
  <c r="I12" s="1"/>
  <c r="H13"/>
  <c r="I13" s="1"/>
  <c r="H14"/>
  <c r="I14" s="1"/>
  <c r="H8"/>
  <c r="I8" s="1"/>
  <c r="I7"/>
  <c r="F15"/>
  <c r="I33" l="1"/>
  <c r="I34" s="1"/>
  <c r="H34"/>
  <c r="H15"/>
  <c r="O13"/>
  <c r="P13" s="1"/>
  <c r="R13" s="1"/>
  <c r="O12"/>
  <c r="P12" s="1"/>
  <c r="R12" s="1"/>
  <c r="M14"/>
  <c r="H25"/>
  <c r="I25"/>
  <c r="F26"/>
  <c r="F35" s="1"/>
  <c r="I15"/>
  <c r="R14" l="1"/>
  <c r="R15" s="1"/>
  <c r="R17" s="1"/>
  <c r="N22" s="1"/>
  <c r="H26"/>
  <c r="H35" s="1"/>
  <c r="I26"/>
  <c r="I35" s="1"/>
  <c r="N21" l="1"/>
  <c r="N23" s="1"/>
  <c r="N24" s="1"/>
</calcChain>
</file>

<file path=xl/comments1.xml><?xml version="1.0" encoding="utf-8"?>
<comments xmlns="http://schemas.openxmlformats.org/spreadsheetml/2006/main">
  <authors>
    <author>Antero Virtanen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Antero Virtanen:</t>
        </r>
        <r>
          <rPr>
            <sz val="9"/>
            <color indexed="81"/>
            <rFont val="Tahoma"/>
            <family val="2"/>
          </rPr>
          <t xml:space="preserve">
Jos otetaan laskentaan niin sijoita ruutuun 1 muuten tyhjä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Antero Virtanen:</t>
        </r>
        <r>
          <rPr>
            <sz val="9"/>
            <color indexed="81"/>
            <rFont val="Tahoma"/>
            <family val="2"/>
          </rPr>
          <t xml:space="preserve">
Sijoittajan tuottovaade
</t>
        </r>
      </text>
    </comment>
  </commentList>
</comments>
</file>

<file path=xl/sharedStrings.xml><?xml version="1.0" encoding="utf-8"?>
<sst xmlns="http://schemas.openxmlformats.org/spreadsheetml/2006/main" count="69" uniqueCount="56">
  <si>
    <t>Tuottoarvo</t>
  </si>
  <si>
    <t>Velat</t>
  </si>
  <si>
    <t>Tase</t>
  </si>
  <si>
    <t>Muuta</t>
  </si>
  <si>
    <t>NETTOVARALLISUUSLASKELMA</t>
  </si>
  <si>
    <t>Varat</t>
  </si>
  <si>
    <t>Käyttöomaisuus</t>
  </si>
  <si>
    <t>Rahoitusomaisuus</t>
  </si>
  <si>
    <t>Aineettomat hyödykkeet</t>
  </si>
  <si>
    <t>Rakennukset</t>
  </si>
  <si>
    <t>Koneet ja kalusto</t>
  </si>
  <si>
    <t>Ennakkomaksut ja keskeneräiset hankinnat</t>
  </si>
  <si>
    <t>Osakkeet ja osuudet</t>
  </si>
  <si>
    <t>Muut käyttöomaisuuserät / konsernisaatava</t>
  </si>
  <si>
    <t>Käyttöomaisuus yht.</t>
  </si>
  <si>
    <t>Myyntisaamiset</t>
  </si>
  <si>
    <t>Konsernisaamiset</t>
  </si>
  <si>
    <t>Siirtosaamiset</t>
  </si>
  <si>
    <t>Muut saamiset</t>
  </si>
  <si>
    <t>Rahat ja pankkisaamiset</t>
  </si>
  <si>
    <t>Vaihtoomaisuus yht.</t>
  </si>
  <si>
    <t>Rahoitusomaisuus yht.</t>
  </si>
  <si>
    <t>Varat yhteensä</t>
  </si>
  <si>
    <t>Oikaisu</t>
  </si>
  <si>
    <t>%</t>
  </si>
  <si>
    <t>Korjattu</t>
  </si>
  <si>
    <t>Korjaus</t>
  </si>
  <si>
    <t>Kommentit</t>
  </si>
  <si>
    <t>Muut rahoituserät</t>
  </si>
  <si>
    <t>Saadut ennakot</t>
  </si>
  <si>
    <t>Lyhytaikainen (ov, sv, mv)</t>
  </si>
  <si>
    <t>Konsernivelat</t>
  </si>
  <si>
    <t>Osinkovelka</t>
  </si>
  <si>
    <t>Velat yhteensä</t>
  </si>
  <si>
    <t>jälkeen</t>
  </si>
  <si>
    <t>Mukaan</t>
  </si>
  <si>
    <t>tulos</t>
  </si>
  <si>
    <t>Keskiarvo</t>
  </si>
  <si>
    <t>Tuottokerroin</t>
  </si>
  <si>
    <t>Substanssiarvo</t>
  </si>
  <si>
    <t>Yhteensä</t>
  </si>
  <si>
    <t>YHTIÖN KOKONAISARVO</t>
  </si>
  <si>
    <t>Osa dollareina</t>
  </si>
  <si>
    <t>Pitkäaikaiset velat</t>
  </si>
  <si>
    <t>Muut oikasuerät (poistoero)</t>
  </si>
  <si>
    <t>Muut aineelliset (leasing omaisuus)</t>
  </si>
  <si>
    <t>Leasingomaisuus</t>
  </si>
  <si>
    <t>Sisältää leasingvelan</t>
  </si>
  <si>
    <t>Yhtiön matemaattinen arvo</t>
  </si>
  <si>
    <t>Yritys:</t>
  </si>
  <si>
    <t>Esimerkki Oy</t>
  </si>
  <si>
    <t>Vuosi:</t>
  </si>
  <si>
    <t>Liikevoitto</t>
  </si>
  <si>
    <t xml:space="preserve">Substanssiarvo € </t>
  </si>
  <si>
    <t>Muita huomioita:</t>
  </si>
  <si>
    <t>Tulos verojen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</si>
</sst>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[$€-1]_-;\-* #,##0\ [$€-1]_-;_-* &quot;-&quot;??\ [$€-1]_-;_-@_-"/>
    <numFmt numFmtId="165" formatCode="_-* #,##0.00\ [$€-1]_-;\-* #,##0.00\ [$€-1]_-;_-* &quot;-&quot;??\ [$€-1]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B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2" xfId="0" applyFill="1" applyBorder="1"/>
    <xf numFmtId="164" fontId="4" fillId="4" borderId="2" xfId="0" applyNumberFormat="1" applyFont="1" applyFill="1" applyBorder="1"/>
    <xf numFmtId="0" fontId="0" fillId="3" borderId="4" xfId="0" applyFill="1" applyBorder="1"/>
    <xf numFmtId="0" fontId="7" fillId="3" borderId="2" xfId="0" applyFont="1" applyFill="1" applyBorder="1"/>
    <xf numFmtId="0" fontId="9" fillId="3" borderId="2" xfId="0" applyFont="1" applyFill="1" applyBorder="1"/>
    <xf numFmtId="164" fontId="7" fillId="3" borderId="2" xfId="0" applyNumberFormat="1" applyFont="1" applyFill="1" applyBorder="1"/>
    <xf numFmtId="0" fontId="6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12" fillId="2" borderId="5" xfId="0" applyFont="1" applyFill="1" applyBorder="1"/>
    <xf numFmtId="164" fontId="11" fillId="2" borderId="5" xfId="0" applyNumberFormat="1" applyFont="1" applyFill="1" applyBorder="1"/>
    <xf numFmtId="0" fontId="0" fillId="2" borderId="0" xfId="0" applyFill="1" applyBorder="1"/>
    <xf numFmtId="0" fontId="8" fillId="2" borderId="1" xfId="0" applyFont="1" applyFill="1" applyBorder="1"/>
    <xf numFmtId="0" fontId="6" fillId="2" borderId="3" xfId="0" applyFont="1" applyFill="1" applyBorder="1"/>
    <xf numFmtId="0" fontId="6" fillId="2" borderId="1" xfId="0" applyFont="1" applyFill="1" applyBorder="1"/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4" fillId="3" borderId="0" xfId="0" applyFont="1" applyFill="1"/>
    <xf numFmtId="0" fontId="13" fillId="3" borderId="2" xfId="0" applyFont="1" applyFill="1" applyBorder="1"/>
    <xf numFmtId="9" fontId="13" fillId="3" borderId="2" xfId="0" applyNumberFormat="1" applyFont="1" applyFill="1" applyBorder="1" applyAlignment="1">
      <alignment horizontal="center"/>
    </xf>
    <xf numFmtId="43" fontId="7" fillId="3" borderId="2" xfId="1" applyFont="1" applyFill="1" applyBorder="1"/>
    <xf numFmtId="0" fontId="15" fillId="3" borderId="0" xfId="0" applyFont="1" applyFill="1"/>
    <xf numFmtId="0" fontId="16" fillId="3" borderId="0" xfId="0" applyFont="1" applyFill="1"/>
    <xf numFmtId="0" fontId="0" fillId="5" borderId="0" xfId="0" applyFill="1"/>
    <xf numFmtId="0" fontId="4" fillId="5" borderId="0" xfId="0" applyFont="1" applyFill="1"/>
    <xf numFmtId="0" fontId="0" fillId="6" borderId="4" xfId="0" applyFill="1" applyBorder="1"/>
    <xf numFmtId="9" fontId="0" fillId="6" borderId="4" xfId="0" applyNumberFormat="1" applyFill="1" applyBorder="1" applyAlignment="1">
      <alignment horizontal="center"/>
    </xf>
    <xf numFmtId="0" fontId="21" fillId="4" borderId="2" xfId="0" applyFont="1" applyFill="1" applyBorder="1"/>
    <xf numFmtId="0" fontId="21" fillId="6" borderId="4" xfId="0" applyFont="1" applyFill="1" applyBorder="1"/>
    <xf numFmtId="164" fontId="21" fillId="4" borderId="2" xfId="0" applyNumberFormat="1" applyFont="1" applyFill="1" applyBorder="1"/>
    <xf numFmtId="164" fontId="21" fillId="6" borderId="4" xfId="0" applyNumberFormat="1" applyFont="1" applyFill="1" applyBorder="1"/>
    <xf numFmtId="164" fontId="8" fillId="3" borderId="4" xfId="0" applyNumberFormat="1" applyFont="1" applyFill="1" applyBorder="1"/>
    <xf numFmtId="164" fontId="19" fillId="6" borderId="4" xfId="0" applyNumberFormat="1" applyFont="1" applyFill="1" applyBorder="1"/>
    <xf numFmtId="164" fontId="8" fillId="3" borderId="2" xfId="0" applyNumberFormat="1" applyFont="1" applyFill="1" applyBorder="1"/>
    <xf numFmtId="0" fontId="24" fillId="3" borderId="2" xfId="0" applyFont="1" applyFill="1" applyBorder="1"/>
    <xf numFmtId="0" fontId="8" fillId="3" borderId="4" xfId="0" applyFont="1" applyFill="1" applyBorder="1"/>
    <xf numFmtId="0" fontId="8" fillId="3" borderId="2" xfId="0" applyFont="1" applyFill="1" applyBorder="1"/>
    <xf numFmtId="0" fontId="25" fillId="2" borderId="0" xfId="0" applyFont="1" applyFill="1"/>
    <xf numFmtId="9" fontId="0" fillId="3" borderId="0" xfId="0" applyNumberFormat="1" applyFill="1"/>
    <xf numFmtId="165" fontId="25" fillId="2" borderId="0" xfId="0" applyNumberFormat="1" applyFont="1" applyFill="1" applyAlignment="1">
      <alignment horizontal="center"/>
    </xf>
    <xf numFmtId="0" fontId="22" fillId="2" borderId="0" xfId="0" applyFont="1" applyFill="1"/>
    <xf numFmtId="0" fontId="20" fillId="2" borderId="0" xfId="0" applyFont="1" applyFill="1"/>
    <xf numFmtId="0" fontId="26" fillId="2" borderId="0" xfId="0" applyFont="1" applyFill="1"/>
    <xf numFmtId="0" fontId="20" fillId="2" borderId="0" xfId="0" applyFont="1" applyFill="1" applyAlignment="1">
      <alignment horizontal="left"/>
    </xf>
    <xf numFmtId="0" fontId="3" fillId="2" borderId="0" xfId="0" applyFont="1" applyFill="1"/>
    <xf numFmtId="0" fontId="23" fillId="5" borderId="0" xfId="0" applyFont="1" applyFill="1"/>
    <xf numFmtId="164" fontId="0" fillId="5" borderId="0" xfId="0" applyNumberFormat="1" applyFill="1"/>
    <xf numFmtId="0" fontId="8" fillId="2" borderId="0" xfId="0" applyFont="1" applyFill="1" applyAlignment="1">
      <alignment horizontal="center"/>
    </xf>
    <xf numFmtId="0" fontId="24" fillId="2" borderId="0" xfId="0" applyFont="1" applyFill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24" fillId="2" borderId="1" xfId="0" applyFont="1" applyFill="1" applyBorder="1"/>
    <xf numFmtId="0" fontId="10" fillId="5" borderId="0" xfId="0" applyFont="1" applyFill="1"/>
    <xf numFmtId="164" fontId="4" fillId="5" borderId="0" xfId="0" applyNumberFormat="1" applyFont="1" applyFill="1"/>
    <xf numFmtId="164" fontId="21" fillId="5" borderId="0" xfId="0" applyNumberFormat="1" applyFont="1" applyFill="1"/>
    <xf numFmtId="0" fontId="21" fillId="5" borderId="0" xfId="0" applyFont="1" applyFill="1"/>
    <xf numFmtId="0" fontId="29" fillId="3" borderId="0" xfId="0" applyFont="1" applyFill="1"/>
    <xf numFmtId="0" fontId="27" fillId="3" borderId="0" xfId="0" applyFont="1" applyFill="1"/>
    <xf numFmtId="0" fontId="4" fillId="5" borderId="0" xfId="0" applyFont="1" applyFill="1" applyAlignment="1">
      <alignment horizontal="center"/>
    </xf>
    <xf numFmtId="0" fontId="30" fillId="2" borderId="5" xfId="0" applyFont="1" applyFill="1" applyBorder="1"/>
    <xf numFmtId="14" fontId="8" fillId="7" borderId="1" xfId="0" applyNumberFormat="1" applyFont="1" applyFill="1" applyBorder="1" applyAlignment="1">
      <alignment horizontal="center"/>
    </xf>
    <xf numFmtId="164" fontId="4" fillId="7" borderId="0" xfId="0" applyNumberFormat="1" applyFont="1" applyFill="1"/>
    <xf numFmtId="9" fontId="0" fillId="7" borderId="0" xfId="0" applyNumberFormat="1" applyFill="1" applyAlignment="1">
      <alignment horizontal="center"/>
    </xf>
    <xf numFmtId="164" fontId="0" fillId="7" borderId="0" xfId="0" applyNumberFormat="1" applyFill="1"/>
    <xf numFmtId="0" fontId="4" fillId="7" borderId="0" xfId="0" applyFont="1" applyFill="1" applyAlignment="1">
      <alignment horizontal="center"/>
    </xf>
    <xf numFmtId="9" fontId="0" fillId="7" borderId="0" xfId="2" applyFont="1" applyFill="1" applyAlignment="1">
      <alignment horizontal="center"/>
    </xf>
    <xf numFmtId="0" fontId="2" fillId="7" borderId="0" xfId="0" applyFont="1" applyFill="1" applyAlignment="1">
      <alignment horizontal="center"/>
    </xf>
    <xf numFmtId="9" fontId="14" fillId="7" borderId="2" xfId="0" applyNumberFormat="1" applyFont="1" applyFill="1" applyBorder="1" applyAlignment="1">
      <alignment horizontal="center"/>
    </xf>
    <xf numFmtId="9" fontId="4" fillId="7" borderId="0" xfId="0" applyNumberFormat="1" applyFont="1" applyFill="1" applyAlignment="1">
      <alignment horizontal="center"/>
    </xf>
    <xf numFmtId="0" fontId="20" fillId="5" borderId="2" xfId="0" applyFont="1" applyFill="1" applyBorder="1" applyAlignment="1"/>
    <xf numFmtId="0" fontId="28" fillId="5" borderId="2" xfId="0" applyFont="1" applyFill="1" applyBorder="1" applyAlignment="1"/>
    <xf numFmtId="165" fontId="20" fillId="5" borderId="2" xfId="0" applyNumberFormat="1" applyFont="1" applyFill="1" applyBorder="1" applyAlignment="1"/>
    <xf numFmtId="165" fontId="28" fillId="5" borderId="2" xfId="0" applyNumberFormat="1" applyFont="1" applyFill="1" applyBorder="1" applyAlignment="1"/>
    <xf numFmtId="165" fontId="22" fillId="5" borderId="0" xfId="0" applyNumberFormat="1" applyFont="1" applyFill="1" applyAlignment="1"/>
    <xf numFmtId="165" fontId="27" fillId="5" borderId="0" xfId="0" applyNumberFormat="1" applyFont="1" applyFill="1" applyAlignment="1"/>
    <xf numFmtId="0" fontId="22" fillId="5" borderId="0" xfId="0" applyFont="1" applyFill="1" applyAlignment="1"/>
    <xf numFmtId="0" fontId="27" fillId="5" borderId="0" xfId="0" applyFont="1" applyFill="1" applyAlignment="1"/>
    <xf numFmtId="0" fontId="22" fillId="5" borderId="2" xfId="0" applyFont="1" applyFill="1" applyBorder="1" applyAlignment="1"/>
    <xf numFmtId="0" fontId="27" fillId="5" borderId="2" xfId="0" applyFont="1" applyFill="1" applyBorder="1" applyAlignment="1"/>
    <xf numFmtId="165" fontId="22" fillId="5" borderId="2" xfId="0" applyNumberFormat="1" applyFont="1" applyFill="1" applyBorder="1" applyAlignment="1"/>
    <xf numFmtId="165" fontId="27" fillId="5" borderId="2" xfId="0" applyNumberFormat="1" applyFont="1" applyFill="1" applyBorder="1" applyAlignment="1"/>
  </cellXfs>
  <cellStyles count="3">
    <cellStyle name="Erotin" xfId="1" builtinId="3"/>
    <cellStyle name="Normaali" xfId="0" builtinId="0"/>
    <cellStyle name="Prosentti" xfId="2" builtinId="5"/>
  </cellStyles>
  <dxfs count="0"/>
  <tableStyles count="0" defaultTableStyle="TableStyleMedium9" defaultPivotStyle="PivotStyleLight16"/>
  <colors>
    <mruColors>
      <color rgb="FFFFFFB3"/>
      <color rgb="FFFFFE8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85" zoomScaleNormal="85" zoomScalePageLayoutView="85" workbookViewId="0">
      <selection activeCell="A5" sqref="A5:XFD5"/>
    </sheetView>
  </sheetViews>
  <sheetFormatPr defaultColWidth="8.85546875" defaultRowHeight="15"/>
  <cols>
    <col min="2" max="2" width="3.140625" customWidth="1"/>
    <col min="3" max="3" width="3.5703125" customWidth="1"/>
    <col min="4" max="4" width="5.42578125" customWidth="1"/>
    <col min="5" max="5" width="40.7109375" bestFit="1" customWidth="1"/>
    <col min="6" max="6" width="14.28515625" bestFit="1" customWidth="1"/>
    <col min="7" max="7" width="9.7109375" bestFit="1" customWidth="1"/>
    <col min="8" max="8" width="10.5703125" customWidth="1"/>
    <col min="9" max="9" width="11.28515625" customWidth="1"/>
    <col min="10" max="10" width="22" customWidth="1"/>
    <col min="11" max="11" width="10.42578125" bestFit="1" customWidth="1"/>
    <col min="12" max="12" width="16.140625" customWidth="1"/>
    <col min="13" max="13" width="10" bestFit="1" customWidth="1"/>
    <col min="14" max="14" width="11" customWidth="1"/>
    <col min="15" max="15" width="10.5703125" customWidth="1"/>
    <col min="16" max="16" width="10.7109375" bestFit="1" customWidth="1"/>
    <col min="17" max="17" width="12.42578125" bestFit="1" customWidth="1"/>
    <col min="18" max="18" width="15.7109375" bestFit="1" customWidth="1"/>
    <col min="19" max="19" width="38.7109375" customWidth="1"/>
  </cols>
  <sheetData>
    <row r="1" spans="1:19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/>
      <c r="B2" s="48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customHeight="1">
      <c r="A3" s="1"/>
      <c r="B3" s="46" t="s">
        <v>49</v>
      </c>
      <c r="C3" s="46"/>
      <c r="D3" s="45"/>
      <c r="E3" s="45" t="s">
        <v>50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3.25">
      <c r="A4" s="41"/>
      <c r="B4" s="46" t="s">
        <v>51</v>
      </c>
      <c r="C4" s="46"/>
      <c r="D4" s="45"/>
      <c r="E4" s="47">
        <v>2013</v>
      </c>
      <c r="F4" s="4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1"/>
      <c r="B5" s="11" t="s">
        <v>4</v>
      </c>
      <c r="C5" s="10"/>
      <c r="D5" s="9"/>
      <c r="E5" s="9"/>
      <c r="F5" s="51" t="s">
        <v>2</v>
      </c>
      <c r="G5" s="51" t="s">
        <v>23</v>
      </c>
      <c r="H5" s="51"/>
      <c r="I5" s="51" t="s">
        <v>25</v>
      </c>
      <c r="J5" s="52"/>
      <c r="K5" s="11"/>
      <c r="L5" s="52"/>
      <c r="M5" s="51" t="s">
        <v>55</v>
      </c>
      <c r="N5" s="51"/>
      <c r="O5" s="51"/>
      <c r="P5" s="51" t="s">
        <v>25</v>
      </c>
      <c r="Q5" s="51" t="s">
        <v>35</v>
      </c>
      <c r="R5" s="51"/>
      <c r="S5" s="52"/>
    </row>
    <row r="6" spans="1:19" ht="18.75">
      <c r="A6" s="1"/>
      <c r="B6" s="10"/>
      <c r="C6" s="15" t="s">
        <v>5</v>
      </c>
      <c r="D6" s="16"/>
      <c r="E6" s="17"/>
      <c r="F6" s="65">
        <v>41639</v>
      </c>
      <c r="G6" s="54" t="s">
        <v>24</v>
      </c>
      <c r="H6" s="54" t="s">
        <v>26</v>
      </c>
      <c r="I6" s="54" t="s">
        <v>2</v>
      </c>
      <c r="J6" s="55" t="s">
        <v>27</v>
      </c>
      <c r="K6" s="15"/>
      <c r="L6" s="56"/>
      <c r="M6" s="53" t="s">
        <v>34</v>
      </c>
      <c r="N6" s="54" t="s">
        <v>24</v>
      </c>
      <c r="O6" s="54" t="s">
        <v>26</v>
      </c>
      <c r="P6" s="54" t="s">
        <v>36</v>
      </c>
      <c r="Q6" s="54">
        <v>1</v>
      </c>
      <c r="R6" s="54"/>
      <c r="S6" s="55" t="s">
        <v>27</v>
      </c>
    </row>
    <row r="7" spans="1:19" ht="18.75">
      <c r="A7" s="1"/>
      <c r="B7" s="1"/>
      <c r="C7" s="1"/>
      <c r="D7" s="49" t="s">
        <v>6</v>
      </c>
      <c r="E7" s="27"/>
      <c r="F7" s="27"/>
      <c r="G7" s="27"/>
      <c r="H7" s="27"/>
      <c r="I7" s="59">
        <f>+F7*(1+G7)</f>
        <v>0</v>
      </c>
      <c r="J7" s="1"/>
      <c r="K7" s="63" t="s">
        <v>52</v>
      </c>
      <c r="L7" s="69">
        <v>2011</v>
      </c>
      <c r="M7" s="68">
        <v>88.2</v>
      </c>
      <c r="N7" s="70">
        <v>0</v>
      </c>
      <c r="O7" s="50">
        <f>+M7*N7</f>
        <v>0</v>
      </c>
      <c r="P7" s="50">
        <f>+O7+M7</f>
        <v>88.2</v>
      </c>
      <c r="Q7" s="71">
        <v>1</v>
      </c>
      <c r="R7" s="50">
        <f t="shared" ref="R7:R8" si="0">+IF(Q7=1,+P7,0)</f>
        <v>88.2</v>
      </c>
      <c r="S7" s="1"/>
    </row>
    <row r="8" spans="1:19" ht="18.75">
      <c r="A8" s="1"/>
      <c r="B8" s="1"/>
      <c r="C8" s="1"/>
      <c r="D8" s="27"/>
      <c r="E8" s="28" t="s">
        <v>8</v>
      </c>
      <c r="F8" s="66">
        <v>0</v>
      </c>
      <c r="G8" s="67">
        <v>0</v>
      </c>
      <c r="H8" s="59">
        <f>+F8*G8</f>
        <v>0</v>
      </c>
      <c r="I8" s="59">
        <f>+F8+H8</f>
        <v>0</v>
      </c>
      <c r="J8" s="1"/>
      <c r="K8" s="63" t="s">
        <v>52</v>
      </c>
      <c r="L8" s="63">
        <f>+L7+1</f>
        <v>2012</v>
      </c>
      <c r="M8" s="68">
        <v>43.4</v>
      </c>
      <c r="N8" s="70">
        <v>0</v>
      </c>
      <c r="O8" s="50">
        <f t="shared" ref="O8:O13" si="1">+M8*N8</f>
        <v>0</v>
      </c>
      <c r="P8" s="50">
        <f t="shared" ref="P8:P13" si="2">+O8+M8</f>
        <v>43.4</v>
      </c>
      <c r="Q8" s="71">
        <v>1</v>
      </c>
      <c r="R8" s="50">
        <f t="shared" si="0"/>
        <v>43.4</v>
      </c>
      <c r="S8" s="1"/>
    </row>
    <row r="9" spans="1:19" ht="18.75">
      <c r="A9" s="1"/>
      <c r="B9" s="1"/>
      <c r="C9" s="1"/>
      <c r="D9" s="27"/>
      <c r="E9" s="28" t="s">
        <v>9</v>
      </c>
      <c r="F9" s="66">
        <v>0</v>
      </c>
      <c r="G9" s="67">
        <v>0</v>
      </c>
      <c r="H9" s="59">
        <f t="shared" ref="H9:H14" si="3">+F9*G9</f>
        <v>0</v>
      </c>
      <c r="I9" s="59">
        <f t="shared" ref="I9:I14" si="4">+F9+H9</f>
        <v>0</v>
      </c>
      <c r="J9" s="1"/>
      <c r="K9" s="63" t="s">
        <v>52</v>
      </c>
      <c r="L9" s="63">
        <f t="shared" ref="L9:L13" si="5">+L8+1</f>
        <v>2013</v>
      </c>
      <c r="M9" s="68">
        <v>234.7</v>
      </c>
      <c r="N9" s="70">
        <v>0</v>
      </c>
      <c r="O9" s="50">
        <f t="shared" si="1"/>
        <v>0</v>
      </c>
      <c r="P9" s="50">
        <f t="shared" si="2"/>
        <v>234.7</v>
      </c>
      <c r="Q9" s="71">
        <v>1</v>
      </c>
      <c r="R9" s="50">
        <f>+IF(Q9=1,+P9,0)</f>
        <v>234.7</v>
      </c>
      <c r="S9" s="1"/>
    </row>
    <row r="10" spans="1:19" ht="18.75">
      <c r="A10" s="1"/>
      <c r="B10" s="1"/>
      <c r="C10" s="1"/>
      <c r="D10" s="27"/>
      <c r="E10" s="28" t="s">
        <v>10</v>
      </c>
      <c r="F10" s="66">
        <v>80</v>
      </c>
      <c r="G10" s="67">
        <v>0</v>
      </c>
      <c r="H10" s="59">
        <f t="shared" si="3"/>
        <v>0</v>
      </c>
      <c r="I10" s="59">
        <f t="shared" si="4"/>
        <v>80</v>
      </c>
      <c r="J10" s="1"/>
      <c r="K10" s="63" t="s">
        <v>52</v>
      </c>
      <c r="L10" s="63">
        <f t="shared" si="5"/>
        <v>2014</v>
      </c>
      <c r="M10" s="68">
        <v>148.5</v>
      </c>
      <c r="N10" s="70">
        <v>0</v>
      </c>
      <c r="O10" s="50">
        <f t="shared" si="1"/>
        <v>0</v>
      </c>
      <c r="P10" s="50">
        <f t="shared" si="2"/>
        <v>148.5</v>
      </c>
      <c r="Q10" s="71">
        <v>1</v>
      </c>
      <c r="R10" s="50">
        <f t="shared" ref="R10:R13" si="6">+IF(Q10=1,+P10,0)</f>
        <v>148.5</v>
      </c>
      <c r="S10" s="1"/>
    </row>
    <row r="11" spans="1:19" ht="18.75">
      <c r="A11" s="1"/>
      <c r="B11" s="1"/>
      <c r="C11" s="1"/>
      <c r="D11" s="27"/>
      <c r="E11" s="28" t="s">
        <v>45</v>
      </c>
      <c r="F11" s="66">
        <v>136</v>
      </c>
      <c r="G11" s="67">
        <v>0</v>
      </c>
      <c r="H11" s="59">
        <f t="shared" si="3"/>
        <v>0</v>
      </c>
      <c r="I11" s="59">
        <f t="shared" si="4"/>
        <v>136</v>
      </c>
      <c r="J11" s="1" t="s">
        <v>46</v>
      </c>
      <c r="K11" s="63" t="s">
        <v>52</v>
      </c>
      <c r="L11" s="63">
        <f t="shared" si="5"/>
        <v>2015</v>
      </c>
      <c r="M11" s="68">
        <v>477.9</v>
      </c>
      <c r="N11" s="70">
        <v>0</v>
      </c>
      <c r="O11" s="50">
        <f t="shared" si="1"/>
        <v>0</v>
      </c>
      <c r="P11" s="50">
        <f t="shared" si="2"/>
        <v>477.9</v>
      </c>
      <c r="Q11" s="71">
        <v>1</v>
      </c>
      <c r="R11" s="50">
        <f t="shared" si="6"/>
        <v>477.9</v>
      </c>
      <c r="S11" s="1"/>
    </row>
    <row r="12" spans="1:19" ht="18.75">
      <c r="A12" s="1"/>
      <c r="B12" s="1"/>
      <c r="C12" s="1"/>
      <c r="D12" s="27"/>
      <c r="E12" s="28" t="s">
        <v>11</v>
      </c>
      <c r="F12" s="66">
        <v>0</v>
      </c>
      <c r="G12" s="67">
        <v>0</v>
      </c>
      <c r="H12" s="59">
        <f t="shared" si="3"/>
        <v>0</v>
      </c>
      <c r="I12" s="59">
        <f t="shared" si="4"/>
        <v>0</v>
      </c>
      <c r="J12" s="1"/>
      <c r="K12" s="63" t="s">
        <v>52</v>
      </c>
      <c r="L12" s="63">
        <f t="shared" si="5"/>
        <v>2016</v>
      </c>
      <c r="M12" s="68"/>
      <c r="N12" s="70">
        <v>0</v>
      </c>
      <c r="O12" s="50">
        <f t="shared" si="1"/>
        <v>0</v>
      </c>
      <c r="P12" s="50">
        <f t="shared" si="2"/>
        <v>0</v>
      </c>
      <c r="Q12" s="71"/>
      <c r="R12" s="50">
        <f t="shared" si="6"/>
        <v>0</v>
      </c>
      <c r="S12" s="1"/>
    </row>
    <row r="13" spans="1:19" ht="18.75">
      <c r="A13" s="1"/>
      <c r="B13" s="1"/>
      <c r="C13" s="1"/>
      <c r="D13" s="27"/>
      <c r="E13" s="28" t="s">
        <v>12</v>
      </c>
      <c r="F13" s="66">
        <v>0</v>
      </c>
      <c r="G13" s="67">
        <v>0</v>
      </c>
      <c r="H13" s="59">
        <f t="shared" si="3"/>
        <v>0</v>
      </c>
      <c r="I13" s="59">
        <f t="shared" si="4"/>
        <v>0</v>
      </c>
      <c r="J13" s="1"/>
      <c r="K13" s="63" t="s">
        <v>52</v>
      </c>
      <c r="L13" s="63">
        <f t="shared" si="5"/>
        <v>2017</v>
      </c>
      <c r="M13" s="68">
        <v>0</v>
      </c>
      <c r="N13" s="70">
        <v>0</v>
      </c>
      <c r="O13" s="50">
        <f t="shared" si="1"/>
        <v>0</v>
      </c>
      <c r="P13" s="50">
        <f t="shared" si="2"/>
        <v>0</v>
      </c>
      <c r="Q13" s="71"/>
      <c r="R13" s="50">
        <f t="shared" si="6"/>
        <v>0</v>
      </c>
      <c r="S13" s="1"/>
    </row>
    <row r="14" spans="1:19" ht="15.75">
      <c r="A14" s="1"/>
      <c r="B14" s="1"/>
      <c r="C14" s="1"/>
      <c r="D14" s="27"/>
      <c r="E14" s="28" t="s">
        <v>13</v>
      </c>
      <c r="F14" s="66">
        <v>0</v>
      </c>
      <c r="G14" s="67">
        <v>0</v>
      </c>
      <c r="H14" s="59">
        <f t="shared" si="3"/>
        <v>0</v>
      </c>
      <c r="I14" s="59">
        <f t="shared" si="4"/>
        <v>0</v>
      </c>
      <c r="J14" s="1"/>
      <c r="K14" s="19"/>
      <c r="L14" s="19"/>
      <c r="M14" s="20">
        <f>SUM(M7:M13)</f>
        <v>992.69999999999993</v>
      </c>
      <c r="N14" s="21"/>
      <c r="O14" s="21"/>
      <c r="P14" s="21"/>
      <c r="Q14" s="19">
        <f>COUNT(Q7:Q13)</f>
        <v>5</v>
      </c>
      <c r="R14" s="20">
        <f>SUM(R7:R13)</f>
        <v>992.69999999999993</v>
      </c>
      <c r="S14" s="1"/>
    </row>
    <row r="15" spans="1:19" ht="16.5" thickBot="1">
      <c r="A15" s="1"/>
      <c r="B15" s="1"/>
      <c r="C15" s="1"/>
      <c r="D15" s="31" t="s">
        <v>14</v>
      </c>
      <c r="E15" s="3"/>
      <c r="F15" s="33">
        <f>IF(F7&gt;0,+F7,+F8+F9+F10+F11+F12+F13+F14)</f>
        <v>216</v>
      </c>
      <c r="G15" s="4"/>
      <c r="H15" s="4">
        <f t="shared" ref="H15:I15" si="7">IF(H7&gt;0,+H7,+H8+H9+H10+H11+H12+H13+H14)</f>
        <v>0</v>
      </c>
      <c r="I15" s="33">
        <f t="shared" si="7"/>
        <v>216</v>
      </c>
      <c r="J15" s="1"/>
      <c r="K15" s="18"/>
      <c r="L15" s="18"/>
      <c r="M15" s="1"/>
      <c r="N15" s="1"/>
      <c r="O15" s="6" t="s">
        <v>37</v>
      </c>
      <c r="P15" s="22"/>
      <c r="Q15" s="22"/>
      <c r="R15" s="8">
        <f>+R14/Q14</f>
        <v>198.54</v>
      </c>
      <c r="S15" s="1"/>
    </row>
    <row r="16" spans="1:19" ht="17.25" thickTop="1" thickBot="1">
      <c r="A16" s="1"/>
      <c r="B16" s="1"/>
      <c r="C16" s="1"/>
      <c r="D16" s="32" t="s">
        <v>20</v>
      </c>
      <c r="E16" s="29"/>
      <c r="F16" s="34">
        <v>1883.8</v>
      </c>
      <c r="G16" s="30">
        <v>-0.1</v>
      </c>
      <c r="H16" s="36">
        <f>+F16*G16</f>
        <v>-188.38</v>
      </c>
      <c r="I16" s="34">
        <f>+F16*(1+G16)</f>
        <v>1695.42</v>
      </c>
      <c r="J16" s="1"/>
      <c r="K16" s="1"/>
      <c r="L16" s="1"/>
      <c r="M16" s="1"/>
      <c r="N16" s="1"/>
      <c r="O16" s="6" t="s">
        <v>38</v>
      </c>
      <c r="P16" s="22"/>
      <c r="Q16" s="72">
        <v>0.2</v>
      </c>
      <c r="R16" s="24">
        <f>100%/Q16</f>
        <v>5</v>
      </c>
      <c r="S16" s="1"/>
    </row>
    <row r="17" spans="1:19" ht="17.25" thickTop="1" thickBot="1">
      <c r="A17" s="1"/>
      <c r="B17" s="1"/>
      <c r="C17" s="1"/>
      <c r="D17" s="57" t="s">
        <v>7</v>
      </c>
      <c r="E17" s="28"/>
      <c r="F17" s="28"/>
      <c r="G17" s="28"/>
      <c r="H17" s="28"/>
      <c r="I17" s="60"/>
      <c r="J17" s="1"/>
      <c r="K17" s="1"/>
      <c r="L17" s="1"/>
      <c r="M17" s="1"/>
      <c r="N17" s="1"/>
      <c r="O17" s="6" t="s">
        <v>0</v>
      </c>
      <c r="P17" s="22"/>
      <c r="Q17" s="23"/>
      <c r="R17" s="8">
        <f>+R15*R16</f>
        <v>992.69999999999993</v>
      </c>
      <c r="S17" s="1"/>
    </row>
    <row r="18" spans="1:19" ht="16.5" thickTop="1">
      <c r="A18" s="1"/>
      <c r="B18" s="1"/>
      <c r="C18" s="1"/>
      <c r="D18" s="28"/>
      <c r="E18" s="28" t="s">
        <v>15</v>
      </c>
      <c r="F18" s="66">
        <v>1052</v>
      </c>
      <c r="G18" s="67">
        <v>-0.03</v>
      </c>
      <c r="H18" s="50">
        <f>+F18*G18</f>
        <v>-31.56</v>
      </c>
      <c r="I18" s="59">
        <f>+F18+H18</f>
        <v>1020.44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"/>
      <c r="B19" s="1"/>
      <c r="C19" s="1"/>
      <c r="D19" s="28"/>
      <c r="E19" s="28" t="s">
        <v>16</v>
      </c>
      <c r="F19" s="66">
        <v>0</v>
      </c>
      <c r="G19" s="67">
        <v>0</v>
      </c>
      <c r="H19" s="50">
        <f t="shared" ref="H19:H24" si="8">+F19*G19</f>
        <v>0</v>
      </c>
      <c r="I19" s="59">
        <f t="shared" ref="I19:I24" si="9">+F19+H19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>
      <c r="A20" s="1"/>
      <c r="B20" s="1"/>
      <c r="C20" s="1"/>
      <c r="D20" s="28"/>
      <c r="E20" s="28" t="s">
        <v>17</v>
      </c>
      <c r="F20" s="66">
        <v>0</v>
      </c>
      <c r="G20" s="67">
        <v>0</v>
      </c>
      <c r="H20" s="50">
        <f t="shared" si="8"/>
        <v>0</v>
      </c>
      <c r="I20" s="59">
        <f t="shared" si="9"/>
        <v>0</v>
      </c>
      <c r="J20" s="1"/>
      <c r="K20" s="26"/>
      <c r="L20" s="61" t="s">
        <v>41</v>
      </c>
      <c r="M20" s="62"/>
      <c r="N20" s="62"/>
      <c r="O20" s="62"/>
      <c r="P20" s="25"/>
      <c r="Q20" s="25"/>
      <c r="R20" s="25"/>
      <c r="S20" s="1"/>
    </row>
    <row r="21" spans="1:19" ht="18.75">
      <c r="A21" s="1"/>
      <c r="B21" s="1"/>
      <c r="C21" s="1"/>
      <c r="D21" s="28"/>
      <c r="E21" s="28" t="s">
        <v>18</v>
      </c>
      <c r="F21" s="66">
        <v>5.5</v>
      </c>
      <c r="G21" s="67">
        <v>0</v>
      </c>
      <c r="H21" s="50">
        <f t="shared" si="8"/>
        <v>0</v>
      </c>
      <c r="I21" s="59">
        <f t="shared" si="9"/>
        <v>5.5</v>
      </c>
      <c r="J21" s="1"/>
      <c r="K21" s="26"/>
      <c r="L21" s="80" t="s">
        <v>39</v>
      </c>
      <c r="M21" s="81"/>
      <c r="N21" s="78">
        <f>+I35</f>
        <v>913.65999999999985</v>
      </c>
      <c r="O21" s="79"/>
      <c r="P21" s="2"/>
      <c r="Q21" s="2"/>
      <c r="R21" s="2"/>
      <c r="S21" s="1"/>
    </row>
    <row r="22" spans="1:19" ht="18.75">
      <c r="A22" s="1"/>
      <c r="B22" s="1"/>
      <c r="C22" s="1"/>
      <c r="D22" s="28"/>
      <c r="E22" s="28" t="s">
        <v>19</v>
      </c>
      <c r="F22" s="66">
        <v>95.6</v>
      </c>
      <c r="G22" s="67">
        <v>0</v>
      </c>
      <c r="H22" s="50">
        <f t="shared" si="8"/>
        <v>0</v>
      </c>
      <c r="I22" s="59">
        <f t="shared" si="9"/>
        <v>95.6</v>
      </c>
      <c r="J22" s="1" t="s">
        <v>42</v>
      </c>
      <c r="K22" s="26"/>
      <c r="L22" s="80" t="s">
        <v>0</v>
      </c>
      <c r="M22" s="81"/>
      <c r="N22" s="78">
        <f>+R17</f>
        <v>992.69999999999993</v>
      </c>
      <c r="O22" s="79"/>
      <c r="P22" s="2"/>
      <c r="Q22" s="2"/>
      <c r="R22" s="2"/>
      <c r="S22" s="1"/>
    </row>
    <row r="23" spans="1:19" ht="19.5" thickBot="1">
      <c r="A23" s="1"/>
      <c r="B23" s="1"/>
      <c r="C23" s="1"/>
      <c r="D23" s="28"/>
      <c r="E23" s="28" t="s">
        <v>3</v>
      </c>
      <c r="F23" s="66">
        <v>600</v>
      </c>
      <c r="G23" s="67">
        <v>-0.25</v>
      </c>
      <c r="H23" s="50">
        <f t="shared" si="8"/>
        <v>-150</v>
      </c>
      <c r="I23" s="59">
        <f t="shared" si="9"/>
        <v>450</v>
      </c>
      <c r="J23" s="1"/>
      <c r="K23" s="26"/>
      <c r="L23" s="82" t="s">
        <v>40</v>
      </c>
      <c r="M23" s="83"/>
      <c r="N23" s="84">
        <f>+N21+N22</f>
        <v>1906.3599999999997</v>
      </c>
      <c r="O23" s="85"/>
      <c r="P23" s="2"/>
      <c r="Q23" s="2"/>
      <c r="R23" s="2"/>
      <c r="S23" s="1"/>
    </row>
    <row r="24" spans="1:19" ht="22.5" thickTop="1" thickBot="1">
      <c r="A24" s="1"/>
      <c r="B24" s="1"/>
      <c r="C24" s="1"/>
      <c r="D24" s="28"/>
      <c r="E24" s="28" t="s">
        <v>28</v>
      </c>
      <c r="F24" s="66">
        <v>0</v>
      </c>
      <c r="G24" s="67">
        <v>0</v>
      </c>
      <c r="H24" s="50">
        <f t="shared" si="8"/>
        <v>0</v>
      </c>
      <c r="I24" s="59">
        <f t="shared" si="9"/>
        <v>0</v>
      </c>
      <c r="J24" s="1"/>
      <c r="K24" s="26"/>
      <c r="L24" s="74" t="s">
        <v>37</v>
      </c>
      <c r="M24" s="75"/>
      <c r="N24" s="76">
        <f>+N23/2</f>
        <v>953.17999999999984</v>
      </c>
      <c r="O24" s="77"/>
      <c r="P24" s="2"/>
      <c r="Q24" s="2"/>
      <c r="R24" s="42">
        <v>0.25</v>
      </c>
      <c r="S24" s="43"/>
    </row>
    <row r="25" spans="1:19" ht="17.25" thickTop="1" thickBot="1">
      <c r="A25" s="1"/>
      <c r="B25" s="1"/>
      <c r="C25" s="14"/>
      <c r="D25" s="31" t="s">
        <v>21</v>
      </c>
      <c r="E25" s="3"/>
      <c r="F25" s="4">
        <f>IF(F17&gt;0,+F17,+F18+F19+F20+F21+F22+F23+F24)</f>
        <v>1753.1</v>
      </c>
      <c r="G25" s="4"/>
      <c r="H25" s="4">
        <f t="shared" ref="H25" si="10">IF(H17&gt;0,+H17,+H18+H19+H20+H21+H22+H23+H24)</f>
        <v>-181.56</v>
      </c>
      <c r="I25" s="33">
        <f t="shared" ref="I25" si="11">IF(I17&gt;0,+I17,+I18+I19+I20+I21+I22+I23+I24)</f>
        <v>1571.54</v>
      </c>
      <c r="J25" s="1"/>
      <c r="K25" s="2"/>
      <c r="L25" s="2"/>
      <c r="M25" s="2"/>
      <c r="N25" s="2"/>
      <c r="O25" s="2"/>
      <c r="P25" s="2"/>
      <c r="Q25" s="2"/>
      <c r="R25" s="2"/>
      <c r="S25" s="1"/>
    </row>
    <row r="26" spans="1:19" ht="20.25" thickTop="1" thickBot="1">
      <c r="A26" s="1"/>
      <c r="B26" s="1"/>
      <c r="C26" s="39" t="s">
        <v>22</v>
      </c>
      <c r="D26" s="5"/>
      <c r="E26" s="5"/>
      <c r="F26" s="35">
        <f>F25+F16+F15</f>
        <v>3852.8999999999996</v>
      </c>
      <c r="G26" s="35"/>
      <c r="H26" s="35">
        <f t="shared" ref="H26" si="12">+H25+H16+H15</f>
        <v>-369.94</v>
      </c>
      <c r="I26" s="35">
        <f>I25+I16+I15</f>
        <v>3482.96</v>
      </c>
      <c r="J26" s="1"/>
      <c r="K26" s="2"/>
      <c r="L26" s="2"/>
      <c r="M26" s="2"/>
      <c r="N26" s="2"/>
      <c r="O26" s="2"/>
      <c r="P26" s="2"/>
      <c r="Q26" s="2"/>
      <c r="R26" s="2"/>
      <c r="S26" s="1"/>
    </row>
    <row r="27" spans="1:19" ht="19.5" thickTop="1">
      <c r="A27" s="1"/>
      <c r="B27" s="1"/>
      <c r="C27" s="11" t="s">
        <v>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>
      <c r="A28" s="1"/>
      <c r="B28" s="1"/>
      <c r="C28" s="1"/>
      <c r="D28" s="28" t="s">
        <v>43</v>
      </c>
      <c r="E28" s="28"/>
      <c r="F28" s="66">
        <v>444.4</v>
      </c>
      <c r="G28" s="73">
        <v>0</v>
      </c>
      <c r="H28" s="58">
        <f t="shared" ref="H28:H32" si="13">+F28*G28</f>
        <v>0</v>
      </c>
      <c r="I28" s="58">
        <f t="shared" ref="I28:I32" si="14">+F28+H28</f>
        <v>444.4</v>
      </c>
      <c r="J28" s="1"/>
      <c r="K28" s="44" t="s">
        <v>54</v>
      </c>
      <c r="L28" s="1"/>
      <c r="M28" s="1"/>
      <c r="N28" s="1"/>
      <c r="O28" s="1"/>
      <c r="P28" s="1"/>
      <c r="Q28" s="1"/>
      <c r="R28" s="1"/>
      <c r="S28" s="1"/>
    </row>
    <row r="29" spans="1:19">
      <c r="A29" s="1"/>
      <c r="B29" s="1"/>
      <c r="C29" s="1"/>
      <c r="D29" s="28" t="s">
        <v>29</v>
      </c>
      <c r="E29" s="28"/>
      <c r="F29" s="66">
        <v>0</v>
      </c>
      <c r="G29" s="73">
        <v>0</v>
      </c>
      <c r="H29" s="58">
        <f t="shared" si="13"/>
        <v>0</v>
      </c>
      <c r="I29" s="58">
        <f t="shared" si="14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1"/>
      <c r="B30" s="1"/>
      <c r="C30" s="1"/>
      <c r="D30" s="28" t="s">
        <v>30</v>
      </c>
      <c r="E30" s="28"/>
      <c r="F30" s="66">
        <f>136.6+778.5+814.8+22.5+327.5</f>
        <v>2079.9</v>
      </c>
      <c r="G30" s="73">
        <v>0</v>
      </c>
      <c r="H30" s="58">
        <f t="shared" si="13"/>
        <v>0</v>
      </c>
      <c r="I30" s="58">
        <f t="shared" si="14"/>
        <v>2079.9</v>
      </c>
      <c r="J30" s="1" t="s">
        <v>47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/>
      <c r="B31" s="1"/>
      <c r="C31" s="1"/>
      <c r="D31" s="28" t="s">
        <v>31</v>
      </c>
      <c r="E31" s="28"/>
      <c r="F31" s="66">
        <v>45</v>
      </c>
      <c r="G31" s="73">
        <v>0</v>
      </c>
      <c r="H31" s="58">
        <f t="shared" si="13"/>
        <v>0</v>
      </c>
      <c r="I31" s="58">
        <f t="shared" si="14"/>
        <v>45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1"/>
      <c r="B32" s="1"/>
      <c r="C32" s="1"/>
      <c r="D32" s="28" t="s">
        <v>32</v>
      </c>
      <c r="E32" s="28"/>
      <c r="F32" s="66">
        <v>0</v>
      </c>
      <c r="G32" s="73">
        <v>0</v>
      </c>
      <c r="H32" s="58">
        <f t="shared" si="13"/>
        <v>0</v>
      </c>
      <c r="I32" s="58">
        <f t="shared" si="14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1"/>
      <c r="C33" s="1"/>
      <c r="D33" s="28" t="s">
        <v>44</v>
      </c>
      <c r="E33" s="28"/>
      <c r="F33" s="66">
        <v>0</v>
      </c>
      <c r="G33" s="73">
        <v>0</v>
      </c>
      <c r="H33" s="58">
        <f t="shared" ref="H33" si="15">+F33*G33</f>
        <v>0</v>
      </c>
      <c r="I33" s="58">
        <f t="shared" ref="I33" si="16">+F33+H33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thickBot="1">
      <c r="A34" s="1"/>
      <c r="B34" s="1"/>
      <c r="C34" s="40" t="s">
        <v>33</v>
      </c>
      <c r="D34" s="7"/>
      <c r="E34" s="7"/>
      <c r="F34" s="37">
        <f>SUM(F28:F33)</f>
        <v>2569.3000000000002</v>
      </c>
      <c r="G34" s="38"/>
      <c r="H34" s="37">
        <f>SUM(H28:H33)</f>
        <v>0</v>
      </c>
      <c r="I34" s="37">
        <f>SUM(I28:I33)</f>
        <v>2569.3000000000002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2.5" thickTop="1" thickBot="1">
      <c r="A35" s="1"/>
      <c r="B35" s="1"/>
      <c r="C35" s="64" t="s">
        <v>53</v>
      </c>
      <c r="D35" s="12"/>
      <c r="E35" s="12"/>
      <c r="F35" s="13">
        <f>+F26-F34</f>
        <v>1283.5999999999995</v>
      </c>
      <c r="G35" s="13">
        <f>+G26-G34</f>
        <v>0</v>
      </c>
      <c r="H35" s="13">
        <f>+H26-H34</f>
        <v>-369.94</v>
      </c>
      <c r="I35" s="13">
        <f>+I26-I34</f>
        <v>913.65999999999985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mergeCells count="8">
    <mergeCell ref="L24:M24"/>
    <mergeCell ref="N24:O24"/>
    <mergeCell ref="N21:O21"/>
    <mergeCell ref="L21:M21"/>
    <mergeCell ref="L22:M22"/>
    <mergeCell ref="N22:O22"/>
    <mergeCell ref="L23:M23"/>
    <mergeCell ref="N23:O23"/>
  </mergeCells>
  <pageMargins left="0.7" right="0.7" top="0.75" bottom="0.75" header="0.3" footer="0.3"/>
  <pageSetup paperSize="9" orientation="portrait" horizontalDpi="4294967293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Yritysarvo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Antero Virtanen</dc:creator>
  <cp:lastModifiedBy>Antero Virtanen</cp:lastModifiedBy>
  <dcterms:created xsi:type="dcterms:W3CDTF">2010-10-18T08:54:13Z</dcterms:created>
  <dcterms:modified xsi:type="dcterms:W3CDTF">2014-05-26T06:26:19Z</dcterms:modified>
</cp:coreProperties>
</file>